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estival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<sst xmlns="http://schemas.openxmlformats.org/spreadsheetml/2006/main" count="58" uniqueCount="43">
  <si>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Festival 2017</t>
  </si>
  <si>
    <t>Electricity surveys</t>
  </si>
  <si>
    <t>costo /kwh</t>
  </si>
  <si>
    <t>kwh</t>
  </si>
  <si>
    <t>day</t>
  </si>
  <si>
    <t>Total kwh/day</t>
  </si>
  <si>
    <t>giorni</t>
  </si>
  <si>
    <t>prelievi</t>
  </si>
  <si>
    <t>immissioni</t>
  </si>
  <si>
    <t>produzione</t>
  </si>
  <si>
    <t>immissione</t>
  </si>
  <si>
    <t>consumo/gg</t>
  </si>
  <si>
    <t>consumo totale</t>
  </si>
  <si>
    <t>costo consumo</t>
  </si>
  <si>
    <t>sabbadini</t>
  </si>
  <si>
    <t>testini</t>
  </si>
  <si>
    <t>bertolo</t>
  </si>
  <si>
    <t>del genio</t>
  </si>
  <si>
    <t>tettoiaFV</t>
  </si>
  <si>
    <t>guizzi</t>
  </si>
  <si>
    <t>montalto</t>
  </si>
  <si>
    <t>totaro</t>
  </si>
  <si>
    <t>tot</t>
  </si>
  <si>
    <t>bilancio</t>
  </si>
  <si>
    <t>kg/kwhel</t>
  </si>
  <si>
    <t>Sovraproduzione totale</t>
  </si>
  <si>
    <t>c02 (Kg/p/year) avoided</t>
  </si>
  <si>
    <t>water (L)</t>
  </si>
  <si>
    <t>days</t>
  </si>
  <si>
    <t>Costo €/mc (&gt;200mc year)</t>
  </si>
  <si>
    <t>mc</t>
  </si>
  <si>
    <t>Total mc/day</t>
  </si>
  <si>
    <t>persone</t>
  </si>
  <si>
    <t>kg Co2/liter</t>
  </si>
  <si>
    <t>liter/day/person</t>
  </si>
  <si>
    <t>Co2 (kg/p/year)</t>
  </si>
  <si>
    <t>Gas surveys</t>
  </si>
  <si>
    <t>kwh/mc</t>
  </si>
  <si>
    <t>Cost €/mc</t>
  </si>
  <si>
    <t>Mc (gpl per kitchen)</t>
  </si>
  <si>
    <t>consumo (mc)</t>
  </si>
  <si>
    <t>costo</t>
  </si>
  <si>
    <t>kg/kwhterm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</si>
</sst>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[$€-410]\ #,##0.00;[RED]\-[$€-410]\ #,##0.00"/>
    <numFmt numFmtId="167" formatCode="0"/>
    <numFmt numFmtId="168" formatCode="0.000"/>
    <numFmt numFmtId="169" formatCode="#,##0.000;[RED]\-#,##0.000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4" fontId="1" fillId="3" borderId="0" xfId="0" applyFont="1" applyFill="1" applyAlignment="1">
      <alignment/>
    </xf>
    <xf numFmtId="165" fontId="2" fillId="3" borderId="0" xfId="0" applyNumberFormat="1" applyFont="1" applyFill="1" applyAlignment="1">
      <alignment/>
    </xf>
    <xf numFmtId="164" fontId="2" fillId="3" borderId="0" xfId="0" applyFont="1" applyFill="1" applyAlignment="1">
      <alignment/>
    </xf>
    <xf numFmtId="165" fontId="2" fillId="3" borderId="0" xfId="0" applyNumberFormat="1" applyFont="1" applyFill="1" applyAlignment="1">
      <alignment horizontal="right"/>
    </xf>
    <xf numFmtId="164" fontId="0" fillId="3" borderId="0" xfId="0" applyFont="1" applyFill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4" fontId="0" fillId="0" borderId="2" xfId="0" applyFont="1" applyBorder="1" applyAlignment="1">
      <alignment horizontal="right"/>
    </xf>
    <xf numFmtId="164" fontId="0" fillId="0" borderId="2" xfId="0" applyBorder="1" applyAlignment="1">
      <alignment/>
    </xf>
    <xf numFmtId="168" fontId="1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166" fontId="0" fillId="0" borderId="2" xfId="0" applyNumberFormat="1" applyFill="1" applyBorder="1" applyAlignment="1">
      <alignment/>
    </xf>
    <xf numFmtId="164" fontId="0" fillId="0" borderId="2" xfId="0" applyFont="1" applyBorder="1" applyAlignment="1">
      <alignment/>
    </xf>
    <xf numFmtId="169" fontId="1" fillId="4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7" fontId="1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I27" sqref="I27"/>
    </sheetView>
  </sheetViews>
  <sheetFormatPr defaultColWidth="11.421875" defaultRowHeight="12.75"/>
  <cols>
    <col min="1" max="1" width="13.00390625" style="0" customWidth="1"/>
    <col min="2" max="2" width="9.140625" style="0" customWidth="1"/>
    <col min="3" max="3" width="9.28125" style="0" customWidth="1"/>
    <col min="5" max="5" width="9.421875" style="0" customWidth="1"/>
    <col min="6" max="6" width="12.00390625" style="0" customWidth="1"/>
    <col min="7" max="7" width="11.00390625" style="1" customWidth="1"/>
    <col min="8" max="10" width="11.57421875" style="0" customWidth="1"/>
    <col min="11" max="16384" width="11.57421875" style="0" customWidth="1"/>
  </cols>
  <sheetData>
    <row r="1" spans="1:9" ht="14.25">
      <c r="A1" s="2" t="s">
        <v>0</v>
      </c>
      <c r="B1" s="3"/>
      <c r="C1" s="3"/>
      <c r="D1" s="3"/>
      <c r="E1" s="3"/>
      <c r="F1" s="4"/>
      <c r="G1" s="5"/>
      <c r="I1" s="6"/>
    </row>
    <row r="2" spans="1:12" ht="14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 t="s">
        <v>2</v>
      </c>
      <c r="L2" s="9">
        <v>0.29</v>
      </c>
    </row>
    <row r="3" spans="1:12" ht="14.25">
      <c r="A3" s="10" t="s">
        <v>3</v>
      </c>
      <c r="B3" s="11">
        <v>42946</v>
      </c>
      <c r="C3" s="11"/>
      <c r="D3" s="12"/>
      <c r="E3" s="11">
        <v>42955</v>
      </c>
      <c r="F3" s="13" t="s">
        <v>4</v>
      </c>
      <c r="G3" s="12">
        <f>E3-B3</f>
        <v>9</v>
      </c>
      <c r="H3" s="14" t="s">
        <v>5</v>
      </c>
      <c r="I3" s="14"/>
      <c r="J3" s="14"/>
      <c r="K3" s="14" t="s">
        <v>6</v>
      </c>
      <c r="L3" s="14">
        <v>9</v>
      </c>
    </row>
    <row r="4" spans="1:13" ht="14.25">
      <c r="A4" s="2"/>
      <c r="B4" s="15" t="s">
        <v>7</v>
      </c>
      <c r="C4" s="15" t="s">
        <v>8</v>
      </c>
      <c r="D4" s="16" t="s">
        <v>9</v>
      </c>
      <c r="E4" s="15" t="s">
        <v>7</v>
      </c>
      <c r="F4" s="15" t="s">
        <v>8</v>
      </c>
      <c r="G4" s="16" t="s">
        <v>9</v>
      </c>
      <c r="H4" s="17" t="s">
        <v>7</v>
      </c>
      <c r="I4" s="17" t="s">
        <v>10</v>
      </c>
      <c r="J4" s="17" t="s">
        <v>9</v>
      </c>
      <c r="K4" s="17" t="s">
        <v>11</v>
      </c>
      <c r="L4" s="17" t="s">
        <v>12</v>
      </c>
      <c r="M4" t="s">
        <v>13</v>
      </c>
    </row>
    <row r="5" spans="1:13" ht="14.25">
      <c r="A5" s="2" t="s">
        <v>14</v>
      </c>
      <c r="B5" s="18">
        <f>1583+2958+4627</f>
        <v>9168</v>
      </c>
      <c r="C5" s="18">
        <f>4366+799+910</f>
        <v>6075</v>
      </c>
      <c r="D5" s="16">
        <f>5029+1068+5896+404+141+153</f>
        <v>12691</v>
      </c>
      <c r="E5" s="18">
        <f>1590+2965+4657</f>
        <v>9212</v>
      </c>
      <c r="F5" s="18">
        <f>4396+801+919</f>
        <v>6116</v>
      </c>
      <c r="G5" s="16">
        <f>5065+1074+5905+447+158+167</f>
        <v>12816</v>
      </c>
      <c r="H5" s="19">
        <f aca="true" t="shared" si="0" ref="H5:H12">(E5-B5)/$G$3</f>
        <v>4.888888888888889</v>
      </c>
      <c r="I5" s="19">
        <f aca="true" t="shared" si="1" ref="I5:I12">(F5-C5)/$G$3</f>
        <v>4.555555555555555</v>
      </c>
      <c r="J5" s="19">
        <f aca="true" t="shared" si="2" ref="J5:J12">(G5-D5)/$G$3</f>
        <v>13.88888888888889</v>
      </c>
      <c r="K5" s="19">
        <f aca="true" t="shared" si="3" ref="K5:K12">H5+(J5-I5)</f>
        <v>14.222222222222223</v>
      </c>
      <c r="L5" s="19">
        <f aca="true" t="shared" si="4" ref="L5:L12">K5*$L$3</f>
        <v>128</v>
      </c>
      <c r="M5" s="20">
        <f aca="true" t="shared" si="5" ref="M5:M12">L5*$L$2</f>
        <v>37.12</v>
      </c>
    </row>
    <row r="6" spans="1:13" ht="14.25">
      <c r="A6" s="2" t="s">
        <v>15</v>
      </c>
      <c r="B6" s="18">
        <f>3104+2984+4724</f>
        <v>10812</v>
      </c>
      <c r="C6" s="18"/>
      <c r="D6" s="16"/>
      <c r="E6" s="18">
        <f>3132+3003+4761</f>
        <v>10896</v>
      </c>
      <c r="F6" s="18"/>
      <c r="G6" s="16"/>
      <c r="H6" s="19">
        <f t="shared" si="0"/>
        <v>9.333333333333334</v>
      </c>
      <c r="I6" s="19">
        <f t="shared" si="1"/>
        <v>0</v>
      </c>
      <c r="J6" s="19">
        <f t="shared" si="2"/>
        <v>0</v>
      </c>
      <c r="K6" s="19">
        <f t="shared" si="3"/>
        <v>9.333333333333334</v>
      </c>
      <c r="L6" s="19">
        <f t="shared" si="4"/>
        <v>84</v>
      </c>
      <c r="M6" s="20">
        <f t="shared" si="5"/>
        <v>24.36</v>
      </c>
    </row>
    <row r="7" spans="1:13" ht="14.25">
      <c r="A7" s="2" t="s">
        <v>16</v>
      </c>
      <c r="B7" s="18">
        <f>486+1156+1980</f>
        <v>3622</v>
      </c>
      <c r="C7" s="18">
        <f>5406+1077+1143</f>
        <v>7626</v>
      </c>
      <c r="D7" s="16">
        <f>6747+1454+1583</f>
        <v>9784</v>
      </c>
      <c r="E7" s="18">
        <f>489+1165+1998</f>
        <v>3652</v>
      </c>
      <c r="F7" s="18">
        <f>5423+1079+1147</f>
        <v>7649</v>
      </c>
      <c r="G7" s="16">
        <f>6780+1460+1591</f>
        <v>9831</v>
      </c>
      <c r="H7" s="19">
        <f t="shared" si="0"/>
        <v>3.3333333333333335</v>
      </c>
      <c r="I7" s="19">
        <f t="shared" si="1"/>
        <v>2.5555555555555554</v>
      </c>
      <c r="J7" s="19">
        <f t="shared" si="2"/>
        <v>5.222222222222222</v>
      </c>
      <c r="K7" s="19">
        <f t="shared" si="3"/>
        <v>6</v>
      </c>
      <c r="L7" s="19">
        <f t="shared" si="4"/>
        <v>54</v>
      </c>
      <c r="M7" s="20">
        <f t="shared" si="5"/>
        <v>15.659999999999998</v>
      </c>
    </row>
    <row r="8" spans="1:13" ht="14.25">
      <c r="A8" s="2" t="s">
        <v>17</v>
      </c>
      <c r="B8" s="18">
        <f>115+226+325</f>
        <v>666</v>
      </c>
      <c r="C8" s="18">
        <f>6562+1352+1535</f>
        <v>9449</v>
      </c>
      <c r="D8" s="18">
        <f>6700+1422+1614</f>
        <v>9736</v>
      </c>
      <c r="E8" s="18">
        <f>116+229+333</f>
        <v>678</v>
      </c>
      <c r="F8" s="18">
        <f>6613+1360+1548</f>
        <v>9521</v>
      </c>
      <c r="G8" s="18">
        <f>6758+1432+1628</f>
        <v>9818</v>
      </c>
      <c r="H8" s="19">
        <f t="shared" si="0"/>
        <v>1.3333333333333333</v>
      </c>
      <c r="I8" s="19">
        <f t="shared" si="1"/>
        <v>8</v>
      </c>
      <c r="J8" s="19">
        <f t="shared" si="2"/>
        <v>9.11111111111111</v>
      </c>
      <c r="K8" s="19">
        <f t="shared" si="3"/>
        <v>2.4444444444444438</v>
      </c>
      <c r="L8" s="19">
        <f t="shared" si="4"/>
        <v>21.999999999999993</v>
      </c>
      <c r="M8" s="20">
        <f t="shared" si="5"/>
        <v>6.379999999999997</v>
      </c>
    </row>
    <row r="9" spans="1:13" ht="14.25">
      <c r="A9" s="2" t="s">
        <v>18</v>
      </c>
      <c r="B9" s="18">
        <f>97+563+1098</f>
        <v>1758</v>
      </c>
      <c r="C9" s="18">
        <f>69299+14823+16762</f>
        <v>100884</v>
      </c>
      <c r="D9" s="16">
        <f>70287+15216+17106</f>
        <v>102609</v>
      </c>
      <c r="E9" s="18">
        <f>97+610+1187</f>
        <v>1894</v>
      </c>
      <c r="F9" s="18">
        <f>69760+14893+16866</f>
        <v>101519</v>
      </c>
      <c r="G9" s="16">
        <f>70817+15309+17229</f>
        <v>103355</v>
      </c>
      <c r="H9" s="19">
        <f t="shared" si="0"/>
        <v>15.11111111111111</v>
      </c>
      <c r="I9" s="19">
        <f t="shared" si="1"/>
        <v>70.55555555555556</v>
      </c>
      <c r="J9" s="19">
        <f t="shared" si="2"/>
        <v>82.88888888888889</v>
      </c>
      <c r="K9" s="19">
        <f t="shared" si="3"/>
        <v>27.44444444444444</v>
      </c>
      <c r="L9" s="19">
        <f t="shared" si="4"/>
        <v>246.99999999999994</v>
      </c>
      <c r="M9" s="20">
        <f t="shared" si="5"/>
        <v>71.62999999999998</v>
      </c>
    </row>
    <row r="10" spans="1:13" ht="14.25">
      <c r="A10" s="2" t="s">
        <v>19</v>
      </c>
      <c r="B10" s="18">
        <f>2384+4678+7216</f>
        <v>14278</v>
      </c>
      <c r="C10" s="18">
        <f>14017+2784+2847</f>
        <v>19648</v>
      </c>
      <c r="D10" s="16">
        <f>18486+4363+4478</f>
        <v>27327</v>
      </c>
      <c r="E10" s="18">
        <f>2407+4725+7267</f>
        <v>14399</v>
      </c>
      <c r="F10" s="18">
        <f>14065+2791+2854</f>
        <v>19710</v>
      </c>
      <c r="G10" s="16">
        <f>18587+4382+4500</f>
        <v>27469</v>
      </c>
      <c r="H10" s="19">
        <f t="shared" si="0"/>
        <v>13.444444444444445</v>
      </c>
      <c r="I10" s="19">
        <f t="shared" si="1"/>
        <v>6.888888888888889</v>
      </c>
      <c r="J10" s="19">
        <f t="shared" si="2"/>
        <v>15.777777777777779</v>
      </c>
      <c r="K10" s="19">
        <f t="shared" si="3"/>
        <v>22.333333333333336</v>
      </c>
      <c r="L10" s="19">
        <f t="shared" si="4"/>
        <v>201.00000000000003</v>
      </c>
      <c r="M10" s="20">
        <f t="shared" si="5"/>
        <v>58.290000000000006</v>
      </c>
    </row>
    <row r="11" spans="1:13" ht="14.25">
      <c r="A11" s="2" t="s">
        <v>20</v>
      </c>
      <c r="B11" s="18">
        <f>985+1619+2289</f>
        <v>4893</v>
      </c>
      <c r="C11" s="18">
        <f>5488+1161+1245</f>
        <v>7894</v>
      </c>
      <c r="D11" s="16">
        <f>7300+1648+1750</f>
        <v>10698</v>
      </c>
      <c r="E11" s="18">
        <f>988+1624+2297</f>
        <v>4909</v>
      </c>
      <c r="F11" s="18">
        <f>5530+1168+1253</f>
        <v>7951</v>
      </c>
      <c r="G11" s="16">
        <f>7357+1658+1762</f>
        <v>10777</v>
      </c>
      <c r="H11" s="19">
        <f t="shared" si="0"/>
        <v>1.7777777777777777</v>
      </c>
      <c r="I11" s="19">
        <f t="shared" si="1"/>
        <v>6.333333333333333</v>
      </c>
      <c r="J11" s="19">
        <f t="shared" si="2"/>
        <v>8.777777777777779</v>
      </c>
      <c r="K11" s="19">
        <f t="shared" si="3"/>
        <v>4.222222222222223</v>
      </c>
      <c r="L11" s="19">
        <f t="shared" si="4"/>
        <v>38.00000000000001</v>
      </c>
      <c r="M11" s="20">
        <f t="shared" si="5"/>
        <v>11.020000000000001</v>
      </c>
    </row>
    <row r="12" spans="1:13" ht="14.25">
      <c r="A12" s="2" t="s">
        <v>21</v>
      </c>
      <c r="B12" s="18">
        <f>3745+3867+4888</f>
        <v>12500</v>
      </c>
      <c r="C12" s="16"/>
      <c r="D12" s="16"/>
      <c r="E12" s="18">
        <f>3753+3873+4899</f>
        <v>12525</v>
      </c>
      <c r="F12" s="18"/>
      <c r="G12" s="16"/>
      <c r="H12" s="19">
        <f t="shared" si="0"/>
        <v>2.7777777777777777</v>
      </c>
      <c r="I12" s="19">
        <f t="shared" si="1"/>
        <v>0</v>
      </c>
      <c r="J12" s="19">
        <f t="shared" si="2"/>
        <v>0</v>
      </c>
      <c r="K12" s="19">
        <f t="shared" si="3"/>
        <v>2.7777777777777777</v>
      </c>
      <c r="L12" s="19">
        <f t="shared" si="4"/>
        <v>25</v>
      </c>
      <c r="M12" s="20">
        <f t="shared" si="5"/>
        <v>7.249999999999999</v>
      </c>
    </row>
    <row r="13" spans="1:13" ht="24" customHeight="1">
      <c r="A13" s="21" t="s">
        <v>22</v>
      </c>
      <c r="B13" s="22"/>
      <c r="C13" s="22"/>
      <c r="D13" s="22"/>
      <c r="E13" s="22"/>
      <c r="F13" s="22"/>
      <c r="G13" s="22"/>
      <c r="H13" s="23">
        <f>SUM(H5:H12)</f>
        <v>52</v>
      </c>
      <c r="I13" s="23">
        <f>SUM(I5:I12)</f>
        <v>98.88888888888889</v>
      </c>
      <c r="J13" s="24">
        <f>SUM(J5:J12)</f>
        <v>135.66666666666666</v>
      </c>
      <c r="K13" s="24">
        <f>SUM(K5:K12)</f>
        <v>88.77777777777777</v>
      </c>
      <c r="L13" s="24">
        <f>SUM(L5:L12)</f>
        <v>799</v>
      </c>
      <c r="M13" s="25">
        <f>SUM(M5:M12)</f>
        <v>231.71</v>
      </c>
    </row>
    <row r="14" spans="1:13" ht="24" customHeight="1">
      <c r="A14" s="21" t="s">
        <v>23</v>
      </c>
      <c r="B14" t="s">
        <v>24</v>
      </c>
      <c r="C14">
        <v>0.52</v>
      </c>
      <c r="D14" s="22" t="s">
        <v>25</v>
      </c>
      <c r="E14" s="23">
        <f>(I13-H13)*10</f>
        <v>468.88888888888886</v>
      </c>
      <c r="F14" s="26" t="s">
        <v>26</v>
      </c>
      <c r="G14" s="27">
        <f>E14*C14</f>
        <v>243.82222222222222</v>
      </c>
      <c r="I14" s="23"/>
      <c r="J14" s="24"/>
      <c r="K14" s="24"/>
      <c r="L14" s="24"/>
      <c r="M14" s="25"/>
    </row>
    <row r="15" spans="1:13" ht="24" customHeight="1">
      <c r="A15" s="21"/>
      <c r="B15" s="22"/>
      <c r="C15" s="22"/>
      <c r="D15" s="22"/>
      <c r="E15" s="22"/>
      <c r="F15" s="22"/>
      <c r="G15" s="22"/>
      <c r="H15" s="23"/>
      <c r="I15" s="23"/>
      <c r="J15" s="24"/>
      <c r="K15" s="24"/>
      <c r="L15" s="24"/>
      <c r="M15" s="24"/>
    </row>
    <row r="17" spans="1:6" ht="14.25">
      <c r="A17" s="7" t="s">
        <v>27</v>
      </c>
      <c r="B17" s="8"/>
      <c r="C17" s="8" t="s">
        <v>28</v>
      </c>
      <c r="D17" s="8">
        <f>C18-B18</f>
        <v>9</v>
      </c>
      <c r="E17" s="8" t="s">
        <v>29</v>
      </c>
      <c r="F17" s="9">
        <v>2.3</v>
      </c>
    </row>
    <row r="18" spans="1:6" ht="14.25">
      <c r="A18" s="10" t="s">
        <v>30</v>
      </c>
      <c r="B18" s="11">
        <v>42946</v>
      </c>
      <c r="C18" s="11">
        <v>42955</v>
      </c>
      <c r="D18" s="14" t="s">
        <v>31</v>
      </c>
      <c r="E18" s="14" t="s">
        <v>32</v>
      </c>
      <c r="F18" s="14">
        <v>250</v>
      </c>
    </row>
    <row r="19" spans="1:6" ht="14.25">
      <c r="A19" s="2" t="s">
        <v>14</v>
      </c>
      <c r="B19" s="16">
        <v>1830</v>
      </c>
      <c r="C19" s="16">
        <v>1843</v>
      </c>
      <c r="D19" s="19">
        <f aca="true" t="shared" si="6" ref="D19:D21">(C19-B19)/$D$17</f>
        <v>1.4444444444444444</v>
      </c>
      <c r="F19" s="20">
        <f aca="true" t="shared" si="7" ref="F19:F21">D19*$D$17*$F$17</f>
        <v>29.9</v>
      </c>
    </row>
    <row r="20" spans="1:6" ht="14.25">
      <c r="A20" s="2" t="s">
        <v>16</v>
      </c>
      <c r="B20" s="16">
        <v>146</v>
      </c>
      <c r="C20" s="16">
        <v>160.5</v>
      </c>
      <c r="D20" s="19">
        <f t="shared" si="6"/>
        <v>1.6111111111111112</v>
      </c>
      <c r="F20" s="20">
        <f t="shared" si="7"/>
        <v>33.349999999999994</v>
      </c>
    </row>
    <row r="21" spans="1:8" ht="14.25">
      <c r="A21" s="2" t="s">
        <v>19</v>
      </c>
      <c r="B21" s="16">
        <v>3369.376</v>
      </c>
      <c r="C21" s="16">
        <v>3426.399</v>
      </c>
      <c r="D21" s="28">
        <f t="shared" si="6"/>
        <v>6.335888888888854</v>
      </c>
      <c r="E21" s="29"/>
      <c r="F21" s="20">
        <f t="shared" si="7"/>
        <v>131.15289999999925</v>
      </c>
      <c r="G21" t="s">
        <v>33</v>
      </c>
      <c r="H21">
        <f>0.4/1000</f>
        <v>0.0004</v>
      </c>
    </row>
    <row r="22" spans="1:8" ht="14.25">
      <c r="A22" s="21" t="s">
        <v>22</v>
      </c>
      <c r="B22" s="30"/>
      <c r="C22" s="23"/>
      <c r="D22" s="23">
        <f>SUM(D19:D21)</f>
        <v>9.39144444444441</v>
      </c>
      <c r="E22" s="31" t="s">
        <v>34</v>
      </c>
      <c r="F22" s="23">
        <f>D22/F18*1000</f>
        <v>37.56577777777764</v>
      </c>
      <c r="G22" s="19" t="s">
        <v>35</v>
      </c>
      <c r="H22" s="27">
        <f>-D22*H21*1000</f>
        <v>-3.756577777777764</v>
      </c>
    </row>
    <row r="24" spans="1:7" ht="14.25">
      <c r="A24" s="7" t="s">
        <v>36</v>
      </c>
      <c r="B24" s="8">
        <f>C25-B25</f>
        <v>9</v>
      </c>
      <c r="C24" s="8" t="s">
        <v>28</v>
      </c>
      <c r="D24" s="8">
        <v>10.81</v>
      </c>
      <c r="E24" s="8" t="s">
        <v>37</v>
      </c>
      <c r="F24" s="8" t="s">
        <v>38</v>
      </c>
      <c r="G24" s="8">
        <v>5</v>
      </c>
    </row>
    <row r="25" spans="1:7" ht="14.25">
      <c r="A25" s="10" t="s">
        <v>39</v>
      </c>
      <c r="B25" s="11">
        <v>42946</v>
      </c>
      <c r="C25" s="11">
        <v>42955</v>
      </c>
      <c r="D25" s="14" t="s">
        <v>31</v>
      </c>
      <c r="E25" s="14" t="s">
        <v>5</v>
      </c>
      <c r="F25" s="14" t="s">
        <v>40</v>
      </c>
      <c r="G25" s="14" t="s">
        <v>41</v>
      </c>
    </row>
    <row r="26" spans="1:9" ht="14.25">
      <c r="A26" s="2" t="s">
        <v>19</v>
      </c>
      <c r="B26">
        <v>1166.827</v>
      </c>
      <c r="C26">
        <v>1184.879</v>
      </c>
      <c r="D26">
        <f>(C26-B26)/$B$24</f>
        <v>2.0057777777777677</v>
      </c>
      <c r="E26">
        <f>D26*$D$24</f>
        <v>21.68245777777767</v>
      </c>
      <c r="F26" s="29">
        <f>C26-B26</f>
        <v>18.051999999999907</v>
      </c>
      <c r="G26" s="32">
        <f>F26*G24</f>
        <v>90.25999999999954</v>
      </c>
      <c r="H26" t="s">
        <v>42</v>
      </c>
      <c r="I26">
        <v>0.1998</v>
      </c>
    </row>
    <row r="27" spans="1:9" ht="14.25">
      <c r="A27" s="21" t="s">
        <v>22</v>
      </c>
      <c r="B27" s="22"/>
      <c r="C27" s="22"/>
      <c r="D27" s="23">
        <f>SUM(D26:D26)</f>
        <v>2.0057777777777677</v>
      </c>
      <c r="E27" s="23">
        <f>SUM(E26:E26)</f>
        <v>21.68245777777767</v>
      </c>
      <c r="F27" s="23">
        <f>SUM(F26:F26)</f>
        <v>18.051999999999907</v>
      </c>
      <c r="H27" s="19" t="s">
        <v>35</v>
      </c>
      <c r="I27" s="27">
        <f>-I26*E27*B24</f>
        <v>-38.98939557599981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2009-08-10T16:57:24Z</cp:lastPrinted>
  <dcterms:created xsi:type="dcterms:W3CDTF">2009-08-10T15:10:29Z</dcterms:created>
  <dcterms:modified xsi:type="dcterms:W3CDTF">2017-08-08T15:16:04Z</dcterms:modified>
  <cp:category/>
  <cp:version/>
  <cp:contentType/>
  <cp:contentStatus/>
  <cp:revision>66</cp:revision>
</cp:coreProperties>
</file>